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320" windowHeight="12375" activeTab="1"/>
  </bookViews>
  <sheets>
    <sheet name="Solve By IDIV" sheetId="2" r:id="rId1"/>
    <sheet name="Solve By R3" sheetId="3" r:id="rId2"/>
  </sheets>
  <definedNames>
    <definedName name="IDIV">'Solve By IDIV'!$B$24</definedName>
    <definedName name="Range2">'Solve By R3'!$RS$2</definedName>
    <definedName name="RNGE2">'Solve By R3'!$B$21</definedName>
    <definedName name="RS">'Solve By IDIV'!$B$23</definedName>
    <definedName name="RSUM">'Solve By IDIV'!$B$27</definedName>
    <definedName name="RSUM2">'Solve By R3'!$B$25</definedName>
    <definedName name="VINT">'Solve By IDIV'!$B$26</definedName>
    <definedName name="VINT2">'Solve By R3'!$B$24</definedName>
    <definedName name="VREF">'Solve By IDIV'!$B$25</definedName>
    <definedName name="VREF2">'Solve By R3'!$B$23</definedName>
    <definedName name="VTHF">'Solve By IDIV'!$B$22</definedName>
    <definedName name="VTHF2">'Solve By R3'!$B$20</definedName>
    <definedName name="VTHR">'Solve By IDIV'!$B$21</definedName>
    <definedName name="VTHR2">'Solve By R3'!$B$19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/>
  <c r="M12"/>
  <c r="J12"/>
  <c r="B24" i="3" l="1"/>
  <c r="B25" s="1"/>
  <c r="B30"/>
  <c r="C30" s="1"/>
  <c r="F4"/>
  <c r="F3"/>
  <c r="F2"/>
  <c r="B29" l="1"/>
  <c r="B28" s="1"/>
  <c r="B9"/>
  <c r="C9" s="1"/>
  <c r="D33"/>
  <c r="D32"/>
  <c r="B10"/>
  <c r="C10" s="1"/>
  <c r="B27" i="2"/>
  <c r="B26"/>
  <c r="F4"/>
  <c r="F3"/>
  <c r="J13" s="1"/>
  <c r="F2"/>
  <c r="M11" l="1"/>
  <c r="M10"/>
  <c r="M13"/>
  <c r="J29"/>
  <c r="J30"/>
  <c r="J32"/>
  <c r="J11"/>
  <c r="J10"/>
  <c r="C29" i="3"/>
  <c r="B33"/>
  <c r="B32"/>
  <c r="C28"/>
  <c r="B11"/>
  <c r="C11" s="1"/>
  <c r="B12" s="1"/>
  <c r="B15" s="1"/>
  <c r="D35" i="2"/>
  <c r="D34"/>
  <c r="B32"/>
  <c r="B31" s="1"/>
  <c r="B30" s="1"/>
  <c r="B9"/>
  <c r="C9" s="1"/>
  <c r="B10" s="1"/>
  <c r="C10" s="1"/>
  <c r="B18" l="1"/>
  <c r="B17"/>
  <c r="J34"/>
  <c r="C32" i="3"/>
  <c r="C33"/>
  <c r="B14"/>
  <c r="B34" i="2"/>
  <c r="B35"/>
  <c r="B11"/>
  <c r="C11" s="1"/>
  <c r="B12" s="1"/>
  <c r="B15" s="1"/>
  <c r="B14" l="1"/>
  <c r="C32" l="1"/>
  <c r="C30" l="1"/>
  <c r="C31" l="1"/>
  <c r="C35" s="1"/>
  <c r="C34" l="1"/>
</calcChain>
</file>

<file path=xl/sharedStrings.xml><?xml version="1.0" encoding="utf-8"?>
<sst xmlns="http://schemas.openxmlformats.org/spreadsheetml/2006/main" count="101" uniqueCount="33">
  <si>
    <t>Rising Threshold</t>
  </si>
  <si>
    <t>Falling Threshold</t>
  </si>
  <si>
    <t>Range Select</t>
  </si>
  <si>
    <t>Reference Voltage</t>
  </si>
  <si>
    <t>IDIV</t>
  </si>
  <si>
    <t xml:space="preserve">R3 </t>
  </si>
  <si>
    <t xml:space="preserve">R1 </t>
  </si>
  <si>
    <t>R1</t>
  </si>
  <si>
    <t>R2</t>
  </si>
  <si>
    <t>R3</t>
  </si>
  <si>
    <t>VINH</t>
  </si>
  <si>
    <t>VINL</t>
  </si>
  <si>
    <t>RSUM</t>
  </si>
  <si>
    <t>VIN(RISE)</t>
  </si>
  <si>
    <t>VIN(FALL)</t>
  </si>
  <si>
    <t>Positive Rail Resistor Calculation</t>
  </si>
  <si>
    <t>OUTPUT</t>
  </si>
  <si>
    <t>Raw Output</t>
  </si>
  <si>
    <t>Actual Thresholds</t>
  </si>
  <si>
    <t>Standard 1% Values</t>
  </si>
  <si>
    <t>Negative Rail Resistor Calculation</t>
  </si>
  <si>
    <t>VINT (VREF/RS)</t>
  </si>
  <si>
    <t>Manual Resistor Entry</t>
  </si>
  <si>
    <t>Inputs</t>
  </si>
  <si>
    <t>LEGEND</t>
  </si>
  <si>
    <t>Fixed Values</t>
  </si>
  <si>
    <t>Outputs</t>
  </si>
  <si>
    <t>VERR(REF)</t>
  </si>
  <si>
    <t>VERR(EXT)</t>
  </si>
  <si>
    <t>VERR(VOS)</t>
  </si>
  <si>
    <t>VERR(GS)</t>
  </si>
  <si>
    <t>VERR</t>
  </si>
  <si>
    <t>Tolerance (+/-)</t>
  </si>
</sst>
</file>

<file path=xl/styles.xml><?xml version="1.0" encoding="utf-8"?>
<styleSheet xmlns="http://schemas.openxmlformats.org/spreadsheetml/2006/main">
  <numFmts count="2">
    <numFmt numFmtId="164" formatCode="##0.00E+0"/>
    <numFmt numFmtId="165" formatCode="0.000E+00"/>
  </numFmts>
  <fonts count="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</cellStyleXfs>
  <cellXfs count="72">
    <xf numFmtId="0" fontId="0" fillId="0" borderId="0" xfId="0"/>
    <xf numFmtId="0" fontId="1" fillId="2" borderId="1" xfId="1"/>
    <xf numFmtId="0" fontId="2" fillId="3" borderId="2" xfId="2"/>
    <xf numFmtId="0" fontId="4" fillId="0" borderId="4" xfId="0" applyFont="1" applyBorder="1"/>
    <xf numFmtId="0" fontId="0" fillId="0" borderId="0" xfId="0" applyBorder="1"/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/>
    <xf numFmtId="2" fontId="3" fillId="4" borderId="2" xfId="3" applyNumberFormat="1" applyBorder="1"/>
    <xf numFmtId="11" fontId="3" fillId="4" borderId="5" xfId="3" applyNumberFormat="1" applyBorder="1"/>
    <xf numFmtId="0" fontId="0" fillId="0" borderId="0" xfId="0" applyFill="1" applyBorder="1"/>
    <xf numFmtId="48" fontId="0" fillId="0" borderId="0" xfId="0" applyNumberFormat="1" applyFill="1" applyBorder="1"/>
    <xf numFmtId="0" fontId="0" fillId="0" borderId="0" xfId="0" applyNumberFormat="1" applyFill="1" applyBorder="1"/>
    <xf numFmtId="0" fontId="1" fillId="5" borderId="5" xfId="1" applyFill="1" applyBorder="1"/>
    <xf numFmtId="0" fontId="5" fillId="5" borderId="5" xfId="1" applyFont="1" applyFill="1" applyBorder="1"/>
    <xf numFmtId="165" fontId="0" fillId="5" borderId="5" xfId="0" applyNumberFormat="1" applyFill="1" applyBorder="1"/>
    <xf numFmtId="0" fontId="2" fillId="3" borderId="11" xfId="2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8" fontId="2" fillId="7" borderId="11" xfId="2" applyNumberFormat="1" applyFont="1" applyFill="1" applyBorder="1" applyAlignment="1">
      <alignment horizontal="center"/>
    </xf>
    <xf numFmtId="164" fontId="2" fillId="7" borderId="2" xfId="2" applyNumberFormat="1" applyFont="1" applyFill="1" applyAlignment="1">
      <alignment horizontal="center"/>
    </xf>
    <xf numFmtId="2" fontId="5" fillId="7" borderId="2" xfId="3" applyNumberFormat="1" applyFont="1" applyFill="1" applyBorder="1" applyAlignment="1">
      <alignment horizontal="center"/>
    </xf>
    <xf numFmtId="2" fontId="5" fillId="4" borderId="2" xfId="3" applyNumberFormat="1" applyFont="1" applyBorder="1" applyAlignment="1">
      <alignment horizontal="center"/>
    </xf>
    <xf numFmtId="2" fontId="5" fillId="6" borderId="2" xfId="3" applyNumberFormat="1" applyFont="1" applyFill="1" applyBorder="1" applyAlignment="1">
      <alignment horizontal="center"/>
    </xf>
    <xf numFmtId="48" fontId="6" fillId="4" borderId="9" xfId="3" applyNumberFormat="1" applyFont="1" applyBorder="1" applyAlignment="1">
      <alignment horizontal="center"/>
    </xf>
    <xf numFmtId="48" fontId="6" fillId="4" borderId="5" xfId="3" applyNumberFormat="1" applyFont="1" applyBorder="1" applyAlignment="1">
      <alignment horizontal="center"/>
    </xf>
    <xf numFmtId="164" fontId="6" fillId="4" borderId="5" xfId="3" applyNumberFormat="1" applyFont="1" applyBorder="1" applyAlignment="1">
      <alignment horizontal="center"/>
    </xf>
    <xf numFmtId="0" fontId="7" fillId="9" borderId="10" xfId="5" applyBorder="1"/>
    <xf numFmtId="48" fontId="3" fillId="4" borderId="5" xfId="3" applyNumberFormat="1" applyBorder="1"/>
    <xf numFmtId="48" fontId="0" fillId="0" borderId="0" xfId="0" applyNumberFormat="1" applyBorder="1"/>
    <xf numFmtId="11" fontId="7" fillId="8" borderId="8" xfId="4" applyNumberFormat="1" applyBorder="1"/>
    <xf numFmtId="11" fontId="7" fillId="8" borderId="2" xfId="4" applyNumberFormat="1" applyBorder="1"/>
    <xf numFmtId="48" fontId="7" fillId="8" borderId="8" xfId="4" applyNumberFormat="1" applyBorder="1"/>
    <xf numFmtId="48" fontId="7" fillId="8" borderId="2" xfId="4" applyNumberFormat="1" applyBorder="1"/>
    <xf numFmtId="0" fontId="7" fillId="9" borderId="1" xfId="5" applyBorder="1"/>
    <xf numFmtId="0" fontId="7" fillId="9" borderId="5" xfId="5" applyBorder="1"/>
    <xf numFmtId="165" fontId="7" fillId="9" borderId="5" xfId="5" applyNumberFormat="1" applyBorder="1"/>
    <xf numFmtId="0" fontId="0" fillId="0" borderId="0" xfId="0" applyProtection="1">
      <protection hidden="1"/>
    </xf>
    <xf numFmtId="0" fontId="1" fillId="2" borderId="1" xfId="1" applyProtection="1">
      <protection locked="0"/>
    </xf>
    <xf numFmtId="11" fontId="1" fillId="2" borderId="1" xfId="1" applyNumberFormat="1" applyProtection="1">
      <protection locked="0"/>
    </xf>
    <xf numFmtId="48" fontId="1" fillId="2" borderId="1" xfId="1" applyNumberFormat="1" applyProtection="1">
      <protection locked="0"/>
    </xf>
    <xf numFmtId="11" fontId="4" fillId="6" borderId="9" xfId="0" applyNumberFormat="1" applyFont="1" applyFill="1" applyBorder="1" applyAlignment="1" applyProtection="1">
      <alignment horizontal="center"/>
      <protection locked="0"/>
    </xf>
    <xf numFmtId="11" fontId="4" fillId="6" borderId="5" xfId="0" applyNumberFormat="1" applyFont="1" applyFill="1" applyBorder="1" applyAlignment="1" applyProtection="1">
      <alignment horizontal="center"/>
      <protection locked="0"/>
    </xf>
    <xf numFmtId="0" fontId="1" fillId="2" borderId="15" xfId="1" applyBorder="1"/>
    <xf numFmtId="0" fontId="1" fillId="2" borderId="15" xfId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1" fillId="2" borderId="18" xfId="1" applyBorder="1"/>
    <xf numFmtId="0" fontId="7" fillId="9" borderId="19" xfId="5" applyBorder="1"/>
    <xf numFmtId="0" fontId="3" fillId="4" borderId="20" xfId="3" applyBorder="1"/>
    <xf numFmtId="0" fontId="0" fillId="0" borderId="0" xfId="0" applyProtection="1"/>
    <xf numFmtId="0" fontId="0" fillId="0" borderId="0" xfId="0" applyAlignment="1" applyProtection="1">
      <alignment horizontal="center"/>
      <protection hidden="1"/>
    </xf>
    <xf numFmtId="0" fontId="2" fillId="3" borderId="9" xfId="2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2" fillId="3" borderId="5" xfId="2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48" fontId="0" fillId="0" borderId="5" xfId="0" applyNumberFormat="1" applyBorder="1" applyProtection="1">
      <protection hidden="1"/>
    </xf>
    <xf numFmtId="48" fontId="0" fillId="0" borderId="0" xfId="0" applyNumberFormat="1" applyProtection="1">
      <protection hidden="1"/>
    </xf>
    <xf numFmtId="0" fontId="0" fillId="0" borderId="0" xfId="0" applyFill="1" applyBorder="1" applyProtection="1">
      <protection hidden="1"/>
    </xf>
    <xf numFmtId="48" fontId="0" fillId="0" borderId="0" xfId="0" applyNumberFormat="1" applyFill="1" applyBorder="1" applyProtection="1">
      <protection hidden="1"/>
    </xf>
    <xf numFmtId="0" fontId="1" fillId="0" borderId="0" xfId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NumberFormat="1" applyFill="1" applyBorder="1" applyProtection="1">
      <protection hidden="1"/>
    </xf>
    <xf numFmtId="11" fontId="0" fillId="0" borderId="0" xfId="0" applyNumberFormat="1" applyFill="1" applyBorder="1" applyProtection="1">
      <protection hidden="1"/>
    </xf>
    <xf numFmtId="0" fontId="4" fillId="0" borderId="20" xfId="0" applyFont="1" applyBorder="1" applyProtection="1">
      <protection hidden="1"/>
    </xf>
    <xf numFmtId="0" fontId="2" fillId="3" borderId="21" xfId="2" applyBorder="1"/>
    <xf numFmtId="0" fontId="2" fillId="3" borderId="21" xfId="2" applyFont="1" applyBorder="1"/>
  </cellXfs>
  <cellStyles count="6">
    <cellStyle name="20% - Accent1" xfId="4" builtinId="30"/>
    <cellStyle name="40% - Accent1" xfId="5" builtinId="31"/>
    <cellStyle name="Good" xfId="3" builtinId="26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zoomScale="85" zoomScaleNormal="85" workbookViewId="0">
      <selection activeCell="N26" sqref="N26"/>
    </sheetView>
  </sheetViews>
  <sheetFormatPr defaultRowHeight="15"/>
  <cols>
    <col min="1" max="1" width="21.140625" customWidth="1"/>
    <col min="2" max="2" width="20" customWidth="1"/>
    <col min="3" max="3" width="18" customWidth="1"/>
    <col min="4" max="4" width="20.5703125" bestFit="1" customWidth="1"/>
    <col min="5" max="5" width="18.85546875" hidden="1" customWidth="1"/>
    <col min="6" max="6" width="17.85546875" hidden="1" customWidth="1"/>
    <col min="7" max="7" width="16.42578125" hidden="1" customWidth="1"/>
    <col min="8" max="8" width="0" hidden="1" customWidth="1"/>
    <col min="9" max="9" width="15.140625" hidden="1" customWidth="1"/>
    <col min="10" max="13" width="0" hidden="1" customWidth="1"/>
  </cols>
  <sheetData>
    <row r="1" spans="1:14" ht="15.75" thickBot="1">
      <c r="A1" s="5" t="s">
        <v>15</v>
      </c>
      <c r="B1" s="49"/>
      <c r="D1" s="50" t="s">
        <v>24</v>
      </c>
      <c r="E1" s="41"/>
      <c r="F1" s="41"/>
      <c r="G1" s="41"/>
      <c r="H1" s="41"/>
      <c r="I1" s="41"/>
      <c r="J1" s="41"/>
      <c r="K1" s="41"/>
      <c r="L1" s="41"/>
      <c r="M1" s="41"/>
      <c r="N1" s="54"/>
    </row>
    <row r="2" spans="1:14">
      <c r="A2" s="47" t="s">
        <v>0</v>
      </c>
      <c r="B2" s="48">
        <v>23.5</v>
      </c>
      <c r="D2" s="51" t="s">
        <v>23</v>
      </c>
      <c r="E2" s="41" t="s">
        <v>10</v>
      </c>
      <c r="F2" s="41">
        <f>B2/B4</f>
        <v>2.35</v>
      </c>
      <c r="G2" s="41"/>
      <c r="H2" s="41"/>
      <c r="I2" s="41"/>
      <c r="J2" s="41"/>
      <c r="K2" s="41"/>
      <c r="L2" s="41"/>
      <c r="M2" s="41"/>
      <c r="N2" s="54"/>
    </row>
    <row r="3" spans="1:14">
      <c r="A3" s="1" t="s">
        <v>1</v>
      </c>
      <c r="B3" s="42">
        <v>22.4</v>
      </c>
      <c r="D3" s="52" t="s">
        <v>25</v>
      </c>
      <c r="E3" s="41" t="s">
        <v>11</v>
      </c>
      <c r="F3" s="41">
        <f>B3/B4</f>
        <v>2.2399999999999998</v>
      </c>
      <c r="G3" s="41"/>
      <c r="H3" s="41"/>
      <c r="I3" s="41"/>
      <c r="J3" s="41"/>
      <c r="K3" s="41"/>
      <c r="L3" s="41"/>
      <c r="M3" s="41"/>
      <c r="N3" s="54"/>
    </row>
    <row r="4" spans="1:14" ht="15.75" thickBot="1">
      <c r="A4" s="1" t="s">
        <v>2</v>
      </c>
      <c r="B4" s="42">
        <v>10</v>
      </c>
      <c r="D4" s="53" t="s">
        <v>26</v>
      </c>
      <c r="E4" s="41" t="s">
        <v>12</v>
      </c>
      <c r="F4" s="41">
        <f>B6/B5</f>
        <v>240200</v>
      </c>
      <c r="G4" s="41"/>
      <c r="H4" s="41"/>
      <c r="I4" s="41"/>
      <c r="J4" s="41"/>
      <c r="K4" s="41"/>
      <c r="L4" s="41"/>
      <c r="M4" s="41"/>
      <c r="N4" s="54"/>
    </row>
    <row r="5" spans="1:14">
      <c r="A5" s="1" t="s">
        <v>4</v>
      </c>
      <c r="B5" s="43">
        <v>1.0000000000000001E-5</v>
      </c>
      <c r="E5" s="41"/>
      <c r="F5" s="41"/>
      <c r="G5" s="41"/>
      <c r="H5" s="41"/>
      <c r="I5" s="41"/>
      <c r="J5" s="41"/>
      <c r="K5" s="41"/>
      <c r="L5" s="41"/>
      <c r="M5" s="41"/>
      <c r="N5" s="54"/>
    </row>
    <row r="6" spans="1:14">
      <c r="A6" s="38" t="s">
        <v>3</v>
      </c>
      <c r="B6" s="38">
        <v>2.4020000000000001</v>
      </c>
      <c r="E6" s="41"/>
      <c r="F6" s="41"/>
      <c r="G6" s="41"/>
      <c r="H6" s="41"/>
      <c r="I6" s="41"/>
      <c r="J6" s="41"/>
      <c r="K6" s="41"/>
      <c r="L6" s="41"/>
      <c r="M6" s="41"/>
      <c r="N6" s="54"/>
    </row>
    <row r="7" spans="1:14" ht="15.75" thickBot="1">
      <c r="E7" s="41"/>
      <c r="F7" s="41"/>
      <c r="G7" s="41"/>
      <c r="H7" s="41"/>
      <c r="I7" s="41"/>
      <c r="J7" s="41"/>
      <c r="K7" s="41"/>
      <c r="L7" s="41"/>
      <c r="M7" s="41"/>
      <c r="N7" s="54"/>
    </row>
    <row r="8" spans="1:14" ht="15.75" thickBot="1">
      <c r="A8" s="5" t="s">
        <v>16</v>
      </c>
      <c r="B8" s="6" t="s">
        <v>17</v>
      </c>
      <c r="C8" s="3" t="s">
        <v>19</v>
      </c>
      <c r="E8" s="41"/>
      <c r="F8" s="41"/>
      <c r="G8" s="41"/>
      <c r="H8" s="41"/>
      <c r="I8" s="41"/>
      <c r="J8" s="41"/>
      <c r="K8" s="41"/>
      <c r="L8" s="41"/>
      <c r="M8" s="41"/>
      <c r="N8" s="54"/>
    </row>
    <row r="9" spans="1:14">
      <c r="A9" s="2" t="s">
        <v>7</v>
      </c>
      <c r="B9" s="34">
        <f>F3*F4/B6</f>
        <v>224000</v>
      </c>
      <c r="C9" s="9">
        <f>ROUND((10^(ROUND(96*LOG(B9),0)/96))/10^INT(LOG((10^(ROUND(96*LOG(B9),0)/96)))),2)*10^INT(LOG((10^(ROUND(96*LOG(B9),0)/96))))</f>
        <v>225999.99999999997</v>
      </c>
      <c r="E9" s="41"/>
      <c r="F9" s="41"/>
      <c r="G9" s="41"/>
      <c r="H9" s="41"/>
      <c r="I9" s="41"/>
      <c r="J9" s="41"/>
      <c r="K9" s="41"/>
      <c r="L9" s="41"/>
      <c r="M9" s="41"/>
      <c r="N9" s="54"/>
    </row>
    <row r="10" spans="1:14">
      <c r="A10" s="2" t="s">
        <v>8</v>
      </c>
      <c r="B10" s="34">
        <f>F2*F4/B6 - C9</f>
        <v>9000.0000000000291</v>
      </c>
      <c r="C10" s="9">
        <f>ROUND((10^(ROUND(96*LOG(B10),0)/96))/10^INT(LOG((10^(ROUND(96*LOG(B10),0)/96)))),2)*10^INT(LOG((10^(ROUND(96*LOG(B10),0)/96))))</f>
        <v>9090</v>
      </c>
      <c r="E10" s="41"/>
      <c r="F10" s="41"/>
      <c r="G10" s="41"/>
      <c r="H10" s="41"/>
      <c r="I10" s="41" t="s">
        <v>27</v>
      </c>
      <c r="J10" s="41">
        <f>B4*0.024*(F3/B6)</f>
        <v>0.22381348875936716</v>
      </c>
      <c r="K10" s="41"/>
      <c r="L10" s="41" t="s">
        <v>27</v>
      </c>
      <c r="M10" s="41">
        <f>B4*0.024*(F2/B6)</f>
        <v>0.23480432972522897</v>
      </c>
      <c r="N10" s="54"/>
    </row>
    <row r="11" spans="1:14">
      <c r="A11" s="2" t="s">
        <v>9</v>
      </c>
      <c r="B11" s="34">
        <f>F4-C10-C9</f>
        <v>5110.0000000000291</v>
      </c>
      <c r="C11" s="9">
        <f>ROUND((10^(ROUND(96*LOG(B11),0)/96))/10^INT(LOG((10^(ROUND(96*LOG(B11),0)/96)))),2)*10^INT(LOG((10^(ROUND(96*LOG(B11),0)/96))))</f>
        <v>5110</v>
      </c>
      <c r="E11" s="41"/>
      <c r="F11" s="41"/>
      <c r="G11" s="41"/>
      <c r="H11" s="41"/>
      <c r="I11" s="41" t="s">
        <v>28</v>
      </c>
      <c r="J11" s="41">
        <f>B4*(F3*2*0.01*(1-(F3/B6)))</f>
        <v>3.0214820982514615E-2</v>
      </c>
      <c r="K11" s="41"/>
      <c r="L11" s="41" t="s">
        <v>28</v>
      </c>
      <c r="M11" s="41">
        <f>B4*(F2*2*0.01*(1-(F2/B6)))</f>
        <v>1.0174854288093262E-2</v>
      </c>
      <c r="N11" s="54"/>
    </row>
    <row r="12" spans="1:14" ht="15.75" thickBot="1">
      <c r="A12" s="2" t="s">
        <v>12</v>
      </c>
      <c r="B12" s="35">
        <f>C9+C11 +C10</f>
        <v>240199.99999999997</v>
      </c>
      <c r="C12" s="4"/>
      <c r="E12" s="41"/>
      <c r="F12" s="41"/>
      <c r="G12" s="41"/>
      <c r="H12" s="41"/>
      <c r="I12" s="41" t="s">
        <v>29</v>
      </c>
      <c r="J12" s="41">
        <f>B4*0.016</f>
        <v>0.16</v>
      </c>
      <c r="K12" s="41"/>
      <c r="L12" s="41" t="s">
        <v>29</v>
      </c>
      <c r="M12" s="41">
        <f>B4*0.016</f>
        <v>0.16</v>
      </c>
      <c r="N12" s="54"/>
    </row>
    <row r="13" spans="1:14" ht="15.75" thickBot="1">
      <c r="A13" s="7" t="s">
        <v>18</v>
      </c>
      <c r="B13" s="4"/>
      <c r="C13" s="4"/>
      <c r="E13" s="41"/>
      <c r="F13" s="41"/>
      <c r="G13" s="41"/>
      <c r="H13" s="41"/>
      <c r="I13" s="41" t="s">
        <v>30</v>
      </c>
      <c r="J13" s="41">
        <f>B4*0.004*F3</f>
        <v>8.9599999999999999E-2</v>
      </c>
      <c r="K13" s="41"/>
      <c r="L13" s="41" t="s">
        <v>30</v>
      </c>
      <c r="M13" s="41">
        <f>B4*0.004*F2</f>
        <v>9.4E-2</v>
      </c>
      <c r="N13" s="54"/>
    </row>
    <row r="14" spans="1:14">
      <c r="A14" s="2" t="s">
        <v>13</v>
      </c>
      <c r="B14" s="8">
        <f>B4*(C10+C9)*B6/B12</f>
        <v>23.508999999999997</v>
      </c>
      <c r="C14" s="4"/>
      <c r="E14" s="41"/>
      <c r="F14" s="41"/>
      <c r="G14" s="41"/>
      <c r="H14" s="41"/>
      <c r="I14" s="41"/>
      <c r="J14" s="41"/>
      <c r="K14" s="41"/>
      <c r="L14" s="41"/>
      <c r="M14" s="41"/>
      <c r="N14" s="54"/>
    </row>
    <row r="15" spans="1:14">
      <c r="A15" s="70" t="s">
        <v>14</v>
      </c>
      <c r="B15" s="8">
        <f>B4*C9*B6/B12</f>
        <v>22.599999999999998</v>
      </c>
      <c r="C15" s="4"/>
      <c r="E15" s="41"/>
      <c r="F15" s="41"/>
      <c r="G15" s="41"/>
      <c r="H15" s="41"/>
      <c r="I15" s="41" t="s">
        <v>31</v>
      </c>
      <c r="J15" s="41"/>
      <c r="K15" s="41"/>
      <c r="L15" s="41"/>
      <c r="M15" s="41"/>
      <c r="N15" s="54"/>
    </row>
    <row r="16" spans="1:14" ht="15.75" hidden="1" thickBot="1">
      <c r="A16" s="69" t="s">
        <v>32</v>
      </c>
      <c r="B16" s="41"/>
      <c r="C16" s="60"/>
      <c r="E16" s="41"/>
      <c r="F16" s="41"/>
      <c r="G16" s="41"/>
      <c r="H16" s="41"/>
      <c r="I16" s="41"/>
      <c r="J16" s="62"/>
      <c r="K16" s="41"/>
      <c r="L16" s="41"/>
      <c r="M16" s="62"/>
      <c r="N16" s="54"/>
    </row>
    <row r="17" spans="1:14" hidden="1">
      <c r="A17" s="56" t="s">
        <v>13</v>
      </c>
      <c r="B17" s="61">
        <f>SQRT(M10^2+M11^2+M12^2+M13^2)</f>
        <v>0.29945383770707962</v>
      </c>
      <c r="C17" s="41"/>
      <c r="E17" s="63"/>
      <c r="F17" s="63"/>
      <c r="G17" s="63"/>
      <c r="H17" s="63"/>
      <c r="I17" s="63"/>
      <c r="J17" s="41"/>
      <c r="K17" s="41"/>
      <c r="L17" s="41"/>
      <c r="M17" s="41"/>
      <c r="N17" s="54"/>
    </row>
    <row r="18" spans="1:14" hidden="1">
      <c r="A18" s="58" t="s">
        <v>14</v>
      </c>
      <c r="B18" s="61">
        <f>SQRT(J10^2+J11^2+J12^2+J13^2)</f>
        <v>0.29091849916711171</v>
      </c>
      <c r="C18" s="41"/>
      <c r="E18" s="63"/>
      <c r="F18" s="63"/>
      <c r="G18" s="63"/>
      <c r="H18" s="63"/>
      <c r="I18" s="63"/>
      <c r="J18" s="41"/>
      <c r="K18" s="41"/>
      <c r="L18" s="41"/>
      <c r="M18" s="41"/>
      <c r="N18" s="54"/>
    </row>
    <row r="19" spans="1:14" ht="15.75" thickBot="1">
      <c r="E19" s="63"/>
      <c r="F19" s="63"/>
      <c r="G19" s="63"/>
      <c r="H19" s="63"/>
      <c r="I19" s="63"/>
      <c r="J19" s="41"/>
      <c r="K19" s="41"/>
      <c r="L19" s="41"/>
      <c r="M19" s="41"/>
      <c r="N19" s="54"/>
    </row>
    <row r="20" spans="1:14" ht="15.75" thickBot="1">
      <c r="A20" s="5" t="s">
        <v>20</v>
      </c>
      <c r="B20" s="49"/>
      <c r="E20" s="63"/>
      <c r="F20" s="63"/>
      <c r="G20" s="63"/>
      <c r="H20" s="63"/>
      <c r="I20" s="63"/>
      <c r="J20" s="41"/>
      <c r="K20" s="41"/>
      <c r="L20" s="41"/>
      <c r="M20" s="41"/>
      <c r="N20" s="54"/>
    </row>
    <row r="21" spans="1:14">
      <c r="A21" s="47" t="s">
        <v>0</v>
      </c>
      <c r="B21" s="48">
        <v>-23.5</v>
      </c>
      <c r="E21" s="63"/>
      <c r="F21" s="64"/>
      <c r="G21" s="63"/>
      <c r="H21" s="63"/>
      <c r="I21" s="63"/>
      <c r="J21" s="41"/>
      <c r="K21" s="62"/>
      <c r="L21" s="41"/>
      <c r="M21" s="41"/>
      <c r="N21" s="54"/>
    </row>
    <row r="22" spans="1:14">
      <c r="A22" s="1" t="s">
        <v>1</v>
      </c>
      <c r="B22" s="42">
        <v>-22.4</v>
      </c>
      <c r="E22" s="63"/>
      <c r="F22" s="63"/>
      <c r="G22" s="65"/>
      <c r="H22" s="63"/>
      <c r="I22" s="63"/>
      <c r="J22" s="41"/>
      <c r="K22" s="41"/>
      <c r="L22" s="41"/>
      <c r="M22" s="41"/>
      <c r="N22" s="54"/>
    </row>
    <row r="23" spans="1:14">
      <c r="A23" s="1" t="s">
        <v>2</v>
      </c>
      <c r="B23" s="42">
        <v>5</v>
      </c>
      <c r="E23" s="63"/>
      <c r="F23" s="64"/>
      <c r="G23" s="63"/>
      <c r="H23" s="63"/>
      <c r="I23" s="63"/>
      <c r="J23" s="41"/>
      <c r="K23" s="41"/>
      <c r="L23" s="41"/>
      <c r="M23" s="41"/>
      <c r="N23" s="54"/>
    </row>
    <row r="24" spans="1:14">
      <c r="A24" s="1" t="s">
        <v>4</v>
      </c>
      <c r="B24" s="44">
        <v>1.0000000000000001E-5</v>
      </c>
      <c r="E24" s="63"/>
      <c r="F24" s="64"/>
      <c r="G24" s="63"/>
      <c r="H24" s="63"/>
      <c r="I24" s="63"/>
      <c r="J24" s="41"/>
      <c r="K24" s="41"/>
      <c r="L24" s="41"/>
      <c r="M24" s="41"/>
      <c r="N24" s="54"/>
    </row>
    <row r="25" spans="1:14">
      <c r="A25" s="31" t="s">
        <v>3</v>
      </c>
      <c r="B25" s="31">
        <v>2.4020000000000001</v>
      </c>
      <c r="E25" s="63"/>
      <c r="F25" s="63"/>
      <c r="G25" s="63"/>
      <c r="H25" s="63"/>
      <c r="I25" s="63"/>
      <c r="J25" s="41"/>
      <c r="K25" s="41"/>
      <c r="L25" s="41"/>
      <c r="M25" s="41"/>
      <c r="N25" s="54"/>
    </row>
    <row r="26" spans="1:14">
      <c r="A26" s="13" t="s">
        <v>21</v>
      </c>
      <c r="B26" s="13">
        <f>VREF/RS</f>
        <v>0.48040000000000005</v>
      </c>
      <c r="E26" s="63"/>
      <c r="F26" s="63"/>
      <c r="G26" s="63"/>
      <c r="H26" s="63"/>
      <c r="I26" s="63"/>
      <c r="J26" s="41"/>
      <c r="K26" s="41"/>
      <c r="L26" s="41"/>
      <c r="M26" s="41"/>
      <c r="N26" s="54"/>
    </row>
    <row r="27" spans="1:14">
      <c r="A27" s="14" t="s">
        <v>12</v>
      </c>
      <c r="B27" s="15">
        <f>(VREF-VTHR)/IDIV</f>
        <v>2590200</v>
      </c>
      <c r="E27" s="63"/>
      <c r="F27" s="63"/>
      <c r="G27" s="65"/>
      <c r="H27" s="63"/>
      <c r="I27" s="63"/>
      <c r="J27" s="41"/>
      <c r="K27" s="41"/>
      <c r="L27" s="41"/>
      <c r="M27" s="41"/>
      <c r="N27" s="54"/>
    </row>
    <row r="28" spans="1:14" ht="15.75" thickBot="1">
      <c r="E28" s="63"/>
      <c r="F28" s="63"/>
      <c r="G28" s="65"/>
      <c r="H28" s="63"/>
      <c r="I28" s="63"/>
      <c r="J28" s="41"/>
      <c r="K28" s="41"/>
      <c r="L28" s="41"/>
      <c r="M28" s="41"/>
      <c r="N28" s="54"/>
    </row>
    <row r="29" spans="1:14" ht="15.75" thickBot="1">
      <c r="A29" s="17" t="s">
        <v>16</v>
      </c>
      <c r="B29" s="18" t="s">
        <v>17</v>
      </c>
      <c r="C29" s="18" t="s">
        <v>19</v>
      </c>
      <c r="D29" s="19" t="s">
        <v>22</v>
      </c>
      <c r="E29" s="63"/>
      <c r="F29" s="63"/>
      <c r="G29" s="63"/>
      <c r="H29" s="63"/>
      <c r="I29" s="63" t="s">
        <v>27</v>
      </c>
      <c r="J29" s="41">
        <f>RS*(0.024*(VINT/VREF))</f>
        <v>2.4E-2</v>
      </c>
      <c r="K29" s="41"/>
      <c r="L29" s="41"/>
      <c r="M29" s="41"/>
      <c r="N29" s="54"/>
    </row>
    <row r="30" spans="1:14">
      <c r="A30" s="16" t="s">
        <v>6</v>
      </c>
      <c r="B30" s="23">
        <f>RSUM-B31-B32</f>
        <v>192160</v>
      </c>
      <c r="C30" s="28">
        <f>ROUND((10^(ROUND(96*LOG(B30),0)/96))/10^INT(LOG((10^(ROUND(96*LOG(B30),0)/96)))),2)*10^INT(LOG((10^(ROUND(96*LOG(B30),0)/96))))</f>
        <v>191000</v>
      </c>
      <c r="D30" s="45">
        <v>182000</v>
      </c>
      <c r="E30" s="66"/>
      <c r="F30" s="63"/>
      <c r="G30" s="63"/>
      <c r="H30" s="63"/>
      <c r="I30" s="63" t="s">
        <v>28</v>
      </c>
      <c r="J30" s="41">
        <f>RS*(VINT*2*0.01*(1-VINT/VREF))</f>
        <v>3.8432000000000008E-2</v>
      </c>
      <c r="K30" s="41"/>
      <c r="L30" s="41"/>
      <c r="M30" s="41"/>
      <c r="N30" s="54"/>
    </row>
    <row r="31" spans="1:14">
      <c r="A31" s="2" t="s">
        <v>8</v>
      </c>
      <c r="B31" s="24">
        <f>((VINT-VTHR)/(VREF-VTHR))*RSUM-B32</f>
        <v>8522.5385049595498</v>
      </c>
      <c r="C31" s="29">
        <f>ROUND((10^(ROUND(96*LOG(B31),0)/96))/10^INT(LOG((10^(ROUND(96*LOG(B31),0)/96)))),2)*10^INT(LOG((10^(ROUND(96*LOG(B31),0)/96))))</f>
        <v>8450</v>
      </c>
      <c r="D31" s="46">
        <v>8600</v>
      </c>
      <c r="E31" s="66"/>
      <c r="F31" s="67"/>
      <c r="G31" s="63"/>
      <c r="H31" s="63"/>
      <c r="I31" s="63" t="s">
        <v>29</v>
      </c>
      <c r="J31" s="41">
        <f>RS*(0.016)</f>
        <v>0.08</v>
      </c>
      <c r="K31" s="41"/>
      <c r="L31" s="41"/>
      <c r="M31" s="41"/>
      <c r="N31" s="54"/>
    </row>
    <row r="32" spans="1:14" ht="15.75" thickBot="1">
      <c r="A32" s="2" t="s">
        <v>5</v>
      </c>
      <c r="B32" s="24">
        <f>((VINT-VTHF)/(VREF-VTHF))*RSUM</f>
        <v>2389517.4614950405</v>
      </c>
      <c r="C32" s="30">
        <f>ROUND((10^(ROUND(96*LOG(B32),0)/96))/10^INT(LOG((10^(ROUND(96*LOG(B32),0)/96)))),2)*10^INT(LOG((10^(ROUND(96*LOG(B32),0)/96))))</f>
        <v>2370000</v>
      </c>
      <c r="D32" s="46">
        <v>1400000</v>
      </c>
      <c r="E32" s="66"/>
      <c r="F32" s="64"/>
      <c r="G32" s="63"/>
      <c r="H32" s="63"/>
      <c r="I32" s="63" t="s">
        <v>30</v>
      </c>
      <c r="J32" s="41">
        <f>RS*0.004*VINT</f>
        <v>9.608000000000002E-3</v>
      </c>
      <c r="K32" s="41"/>
      <c r="L32" s="41"/>
      <c r="M32" s="41"/>
      <c r="N32" s="54"/>
    </row>
    <row r="33" spans="1:14" ht="15.75" thickBot="1">
      <c r="A33" s="7" t="s">
        <v>18</v>
      </c>
      <c r="B33" s="21"/>
      <c r="C33" s="22"/>
      <c r="D33" s="22"/>
      <c r="E33" s="66"/>
      <c r="F33" s="64"/>
      <c r="G33" s="63"/>
      <c r="H33" s="63"/>
      <c r="I33" s="68"/>
      <c r="J33" s="41"/>
      <c r="K33" s="41"/>
      <c r="L33" s="41"/>
      <c r="M33" s="41"/>
      <c r="N33" s="54"/>
    </row>
    <row r="34" spans="1:14">
      <c r="A34" s="2" t="s">
        <v>13</v>
      </c>
      <c r="B34" s="25">
        <f>VINT-(VREF-VINT)/(B30)*(B31+B32)</f>
        <v>-23.500000000000004</v>
      </c>
      <c r="C34" s="26">
        <f>VINT-(VREF-VINT)/(C30)*(C31+C32)</f>
        <v>-23.448550366492146</v>
      </c>
      <c r="D34" s="27">
        <f>VINT-(VREF-VINT)/(D30)*(D31+D32)</f>
        <v>-14.391939340659341</v>
      </c>
      <c r="E34" s="66"/>
      <c r="F34" s="63"/>
      <c r="G34" s="63"/>
      <c r="H34" s="63"/>
      <c r="I34" s="63"/>
      <c r="J34" s="41">
        <f>SQRT(J29^2+J30^2+J31^2+J32^2)</f>
        <v>9.2440966502952568E-2</v>
      </c>
      <c r="K34" s="41"/>
      <c r="L34" s="41"/>
      <c r="M34" s="41"/>
      <c r="N34" s="54"/>
    </row>
    <row r="35" spans="1:14">
      <c r="A35" s="71" t="s">
        <v>14</v>
      </c>
      <c r="B35" s="25">
        <f>VINT-((VREF-VINT)/(B30+B31))*(B32)</f>
        <v>-22.39999999999997</v>
      </c>
      <c r="C35" s="26">
        <f>VINT-((VREF-VINT)/(C30+C31))*(C32)</f>
        <v>-22.353352820255708</v>
      </c>
      <c r="D35" s="27">
        <f>VINT-((VREF-VINT)/(D30+D31))*(D32)</f>
        <v>-13.634185519412384</v>
      </c>
      <c r="E35" s="66"/>
      <c r="F35" s="63"/>
      <c r="G35" s="63"/>
      <c r="H35" s="63"/>
      <c r="I35" s="63"/>
      <c r="J35" s="41"/>
      <c r="K35" s="41"/>
      <c r="L35" s="41"/>
      <c r="M35" s="41"/>
      <c r="N35" s="54"/>
    </row>
    <row r="36" spans="1:14" ht="15.75" hidden="1" thickBot="1">
      <c r="A36" s="69" t="s">
        <v>32</v>
      </c>
      <c r="B36" s="55"/>
      <c r="C36" s="55"/>
      <c r="D36" s="55"/>
      <c r="E36" s="66"/>
      <c r="F36" s="63"/>
      <c r="G36" s="63"/>
      <c r="H36" s="63"/>
      <c r="I36" s="63"/>
      <c r="J36" s="41"/>
      <c r="K36" s="41"/>
      <c r="L36" s="41"/>
      <c r="M36" s="41"/>
      <c r="N36" s="54"/>
    </row>
    <row r="37" spans="1:14" hidden="1">
      <c r="A37" s="56" t="s">
        <v>13</v>
      </c>
      <c r="B37" s="57"/>
      <c r="C37" s="57"/>
      <c r="D37" s="57"/>
      <c r="E37" s="66"/>
      <c r="F37" s="63"/>
      <c r="G37" s="63"/>
      <c r="H37" s="63"/>
      <c r="I37" s="63"/>
      <c r="J37" s="41"/>
      <c r="K37" s="41"/>
      <c r="L37" s="41"/>
      <c r="M37" s="41"/>
      <c r="N37" s="54"/>
    </row>
    <row r="38" spans="1:14" hidden="1">
      <c r="A38" s="58" t="s">
        <v>14</v>
      </c>
      <c r="B38" s="59"/>
      <c r="C38" s="59"/>
      <c r="D38" s="59"/>
      <c r="E38" s="63"/>
      <c r="F38" s="63"/>
      <c r="G38" s="63"/>
      <c r="H38" s="63"/>
      <c r="I38" s="63"/>
      <c r="J38" s="41"/>
      <c r="K38" s="41"/>
      <c r="L38" s="41"/>
      <c r="M38" s="41"/>
      <c r="N38" s="54"/>
    </row>
  </sheetData>
  <sheetProtection algorithmName="SHA-512" hashValue="Aicn6lL6WyHNzWU3grj8QLcplNq+pRg8qbraRQxWFYbsgPJ8WJc2BK5X6qRnKurtJScxn4mPx4mEbh9cfxKA9w==" saltValue="MQgfiHUhQ2FnN8rf/N1Yz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H9" sqref="H9"/>
    </sheetView>
  </sheetViews>
  <sheetFormatPr defaultRowHeight="15"/>
  <cols>
    <col min="1" max="1" width="25.7109375" customWidth="1"/>
    <col min="2" max="2" width="16.7109375" customWidth="1"/>
    <col min="3" max="3" width="20.42578125" customWidth="1"/>
    <col min="4" max="4" width="25.140625" customWidth="1"/>
    <col min="5" max="6" width="0" hidden="1" customWidth="1"/>
  </cols>
  <sheetData>
    <row r="1" spans="1:6" ht="15.75" thickBot="1">
      <c r="A1" s="5" t="s">
        <v>15</v>
      </c>
      <c r="B1" s="49"/>
      <c r="D1" s="50" t="s">
        <v>24</v>
      </c>
    </row>
    <row r="2" spans="1:6">
      <c r="A2" s="47" t="s">
        <v>0</v>
      </c>
      <c r="B2" s="48">
        <v>23.5</v>
      </c>
      <c r="D2" s="51" t="s">
        <v>23</v>
      </c>
      <c r="E2" s="41" t="s">
        <v>10</v>
      </c>
      <c r="F2" s="41">
        <f>B2/B4</f>
        <v>2.35</v>
      </c>
    </row>
    <row r="3" spans="1:6">
      <c r="A3" s="1" t="s">
        <v>1</v>
      </c>
      <c r="B3" s="42">
        <v>22.4</v>
      </c>
      <c r="D3" s="52" t="s">
        <v>25</v>
      </c>
      <c r="E3" s="41" t="s">
        <v>11</v>
      </c>
      <c r="F3" s="41">
        <f>B3/B4</f>
        <v>2.2399999999999998</v>
      </c>
    </row>
    <row r="4" spans="1:6" ht="15.75" thickBot="1">
      <c r="A4" s="1" t="s">
        <v>2</v>
      </c>
      <c r="B4" s="42">
        <v>10</v>
      </c>
      <c r="D4" s="53" t="s">
        <v>26</v>
      </c>
      <c r="E4" s="41" t="s">
        <v>12</v>
      </c>
      <c r="F4" s="41">
        <f>B6/B5</f>
        <v>1201000.0000000002</v>
      </c>
    </row>
    <row r="5" spans="1:6">
      <c r="A5" s="1" t="s">
        <v>4</v>
      </c>
      <c r="B5" s="43">
        <v>1.9999999999999999E-6</v>
      </c>
      <c r="E5" s="41"/>
      <c r="F5" s="41"/>
    </row>
    <row r="6" spans="1:6">
      <c r="A6" s="38" t="s">
        <v>3</v>
      </c>
      <c r="B6" s="38">
        <v>2.4020000000000001</v>
      </c>
      <c r="E6" s="41"/>
      <c r="F6" s="41"/>
    </row>
    <row r="7" spans="1:6" ht="15.75" thickBot="1"/>
    <row r="8" spans="1:6" ht="15.75" thickBot="1">
      <c r="A8" s="5" t="s">
        <v>16</v>
      </c>
      <c r="B8" s="6" t="s">
        <v>17</v>
      </c>
      <c r="C8" s="3" t="s">
        <v>19</v>
      </c>
    </row>
    <row r="9" spans="1:6">
      <c r="A9" s="2" t="s">
        <v>7</v>
      </c>
      <c r="B9" s="36">
        <f>F3*F4/B6</f>
        <v>1120000.0000000002</v>
      </c>
      <c r="C9" s="32">
        <f>ROUND((10^(ROUND(96*LOG(B9),0)/96))/10^INT(LOG((10^(ROUND(96*LOG(B9),0)/96)))),2)*10^INT(LOG((10^(ROUND(96*LOG(B9),0)/96))))</f>
        <v>1130000</v>
      </c>
    </row>
    <row r="10" spans="1:6">
      <c r="A10" s="2" t="s">
        <v>8</v>
      </c>
      <c r="B10" s="36">
        <f>F2*F4/B6 - C9</f>
        <v>45000.000000000233</v>
      </c>
      <c r="C10" s="32">
        <f>ROUND((10^(ROUND(96*LOG(B10),0)/96))/10^INT(LOG((10^(ROUND(96*LOG(B10),0)/96)))),2)*10^INT(LOG((10^(ROUND(96*LOG(B10),0)/96))))</f>
        <v>45300</v>
      </c>
    </row>
    <row r="11" spans="1:6">
      <c r="A11" s="2" t="s">
        <v>9</v>
      </c>
      <c r="B11" s="36">
        <f>F4-C10-C9</f>
        <v>25700.000000000233</v>
      </c>
      <c r="C11" s="32">
        <f>ROUND((10^(ROUND(96*LOG(B11),0)/96))/10^INT(LOG((10^(ROUND(96*LOG(B11),0)/96)))),2)*10^INT(LOG((10^(ROUND(96*LOG(B11),0)/96))))</f>
        <v>25500</v>
      </c>
    </row>
    <row r="12" spans="1:6" ht="15.75" thickBot="1">
      <c r="A12" s="2" t="s">
        <v>12</v>
      </c>
      <c r="B12" s="37">
        <f>C9+C11 +C10</f>
        <v>1200800</v>
      </c>
      <c r="C12" s="33"/>
    </row>
    <row r="13" spans="1:6" ht="15.75" thickBot="1">
      <c r="A13" s="7" t="s">
        <v>18</v>
      </c>
      <c r="B13" s="4"/>
      <c r="C13" s="4"/>
    </row>
    <row r="14" spans="1:6">
      <c r="A14" s="2" t="s">
        <v>13</v>
      </c>
      <c r="B14" s="8">
        <f>B4*(C10+C9)*B6/B12</f>
        <v>23.509915056628913</v>
      </c>
      <c r="C14" s="4"/>
    </row>
    <row r="15" spans="1:6">
      <c r="A15" s="2" t="s">
        <v>14</v>
      </c>
      <c r="B15" s="8">
        <f>B4*C9*B6/B12</f>
        <v>22.603764157228515</v>
      </c>
      <c r="C15" s="4"/>
    </row>
    <row r="16" spans="1:6">
      <c r="E16" s="10"/>
      <c r="F16" s="10"/>
    </row>
    <row r="17" spans="1:6" ht="15.75" thickBot="1">
      <c r="E17" s="10"/>
      <c r="F17" s="10"/>
    </row>
    <row r="18" spans="1:6" ht="15.75" thickBot="1">
      <c r="A18" s="7" t="s">
        <v>20</v>
      </c>
      <c r="B18" s="49"/>
      <c r="E18" s="10"/>
      <c r="F18" s="10"/>
    </row>
    <row r="19" spans="1:6">
      <c r="A19" s="47" t="s">
        <v>0</v>
      </c>
      <c r="B19" s="48">
        <v>-23.5</v>
      </c>
      <c r="E19" s="10"/>
      <c r="F19" s="11"/>
    </row>
    <row r="20" spans="1:6">
      <c r="A20" s="1" t="s">
        <v>1</v>
      </c>
      <c r="B20" s="42">
        <v>-22.4</v>
      </c>
      <c r="E20" s="10"/>
      <c r="F20" s="10"/>
    </row>
    <row r="21" spans="1:6">
      <c r="A21" s="1" t="s">
        <v>2</v>
      </c>
      <c r="B21" s="42">
        <v>5</v>
      </c>
      <c r="E21" s="10"/>
      <c r="F21" s="11"/>
    </row>
    <row r="22" spans="1:6">
      <c r="A22" s="1" t="s">
        <v>9</v>
      </c>
      <c r="B22" s="44">
        <v>3300000</v>
      </c>
      <c r="E22" s="10"/>
      <c r="F22" s="11"/>
    </row>
    <row r="23" spans="1:6">
      <c r="A23" s="31" t="s">
        <v>3</v>
      </c>
      <c r="B23" s="31">
        <v>2.4020000000000001</v>
      </c>
      <c r="E23" s="10"/>
      <c r="F23" s="10"/>
    </row>
    <row r="24" spans="1:6">
      <c r="A24" s="39" t="s">
        <v>21</v>
      </c>
      <c r="B24" s="39">
        <f>VREF2/RNGE2</f>
        <v>0.48040000000000005</v>
      </c>
      <c r="E24" s="10"/>
      <c r="F24" s="10"/>
    </row>
    <row r="25" spans="1:6">
      <c r="A25" s="39" t="s">
        <v>12</v>
      </c>
      <c r="B25" s="40">
        <f>(VREF2-VTHF2)/(VINT2-VTHF2)*B22</f>
        <v>3577149.0008915933</v>
      </c>
      <c r="E25" s="10"/>
      <c r="F25" s="10"/>
    </row>
    <row r="26" spans="1:6" ht="15.75" thickBot="1">
      <c r="E26" s="10"/>
      <c r="F26" s="10"/>
    </row>
    <row r="27" spans="1:6" ht="15.75" thickBot="1">
      <c r="A27" s="17" t="s">
        <v>16</v>
      </c>
      <c r="B27" s="18" t="s">
        <v>17</v>
      </c>
      <c r="C27" s="18" t="s">
        <v>19</v>
      </c>
      <c r="D27" s="19" t="s">
        <v>22</v>
      </c>
      <c r="E27" s="10"/>
      <c r="F27" s="10"/>
    </row>
    <row r="28" spans="1:6">
      <c r="A28" s="16" t="s">
        <v>6</v>
      </c>
      <c r="B28" s="23">
        <f>RSUM2-B29-B30</f>
        <v>265379.1027763607</v>
      </c>
      <c r="C28" s="28">
        <f>ROUND((10^(ROUND(96*LOG(B28),0)/96))/10^INT(LOG((10^(ROUND(96*LOG(B28),0)/96)))),2)*10^INT(LOG((10^(ROUND(96*LOG(B28),0)/96))))</f>
        <v>267000</v>
      </c>
      <c r="D28" s="45">
        <v>182000</v>
      </c>
      <c r="E28" s="20"/>
      <c r="F28" s="10"/>
    </row>
    <row r="29" spans="1:6">
      <c r="A29" s="2" t="s">
        <v>8</v>
      </c>
      <c r="B29" s="24">
        <f>((VINT2-VTHR2)/(VREF2-VTHR2))*RSUM2 - B30</f>
        <v>11769.898115232587</v>
      </c>
      <c r="C29" s="29">
        <f>ROUND((10^(ROUND(96*LOG(B29),0)/96))/10^INT(LOG((10^(ROUND(96*LOG(B29),0)/96)))),2)*10^INT(LOG((10^(ROUND(96*LOG(B29),0)/96))))</f>
        <v>11800</v>
      </c>
      <c r="D29" s="46">
        <v>8600</v>
      </c>
      <c r="E29" s="20"/>
      <c r="F29" s="12"/>
    </row>
    <row r="30" spans="1:6" ht="15.75" thickBot="1">
      <c r="A30" s="2" t="s">
        <v>5</v>
      </c>
      <c r="B30" s="24">
        <f>B22</f>
        <v>3300000</v>
      </c>
      <c r="C30" s="30">
        <f>ROUND((10^(ROUND(96*LOG(B30),0)/96))/10^INT(LOG((10^(ROUND(96*LOG(B30),0)/96)))),2)*10^INT(LOG((10^(ROUND(96*LOG(B30),0)/96))))</f>
        <v>3320000</v>
      </c>
      <c r="D30" s="46">
        <v>1400000</v>
      </c>
      <c r="E30" s="20"/>
      <c r="F30" s="11"/>
    </row>
    <row r="31" spans="1:6" ht="15.75" thickBot="1">
      <c r="A31" s="7" t="s">
        <v>18</v>
      </c>
      <c r="B31" s="21"/>
      <c r="C31" s="22"/>
      <c r="D31" s="22"/>
      <c r="E31" s="20"/>
      <c r="F31" s="11"/>
    </row>
    <row r="32" spans="1:6">
      <c r="A32" s="2" t="s">
        <v>13</v>
      </c>
      <c r="B32" s="25">
        <f>VINT2-(VREF2-VINT2)/(B28)*(B29+B30)</f>
        <v>-23.499999999999968</v>
      </c>
      <c r="C32" s="26">
        <f>VINT2-(VREF-VINT2)/(C28)*(C29+C30)</f>
        <v>-23.498577078651689</v>
      </c>
      <c r="D32" s="27">
        <f>VINT2-(VREF-VINT2)/(D28)*(D29+D30)</f>
        <v>-14.391939340659341</v>
      </c>
      <c r="E32" s="20"/>
      <c r="F32" s="10"/>
    </row>
    <row r="33" spans="1:6">
      <c r="A33" s="2" t="s">
        <v>14</v>
      </c>
      <c r="B33" s="25">
        <f>VINT2-((VREF2-VINT2)/(B28+B29))*(B30)</f>
        <v>-22.399999999999963</v>
      </c>
      <c r="C33" s="26">
        <f>VINT2-((VREF-VINT2)/(C28+C29))*(C30)</f>
        <v>-22.402354662840747</v>
      </c>
      <c r="D33" s="27">
        <f>VINT2-((VREF-VINT2)/(D28+D29))*(D30)</f>
        <v>-13.634185519412384</v>
      </c>
      <c r="E33" s="20"/>
      <c r="F33" s="10"/>
    </row>
  </sheetData>
  <sheetProtection algorithmName="SHA-512" hashValue="qdThLIMInwxwOMpC5QYBJQsAmnyJ+tlkZoGS1HyvBylq9os7fs3xDiXMpqBRZJ+pnO4ao/ImF435fK7R2RuoOA==" saltValue="jaCdsMju40E/Y1OGF4nf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Solve By IDIV</vt:lpstr>
      <vt:lpstr>Solve By R3</vt:lpstr>
      <vt:lpstr>IDIV</vt:lpstr>
      <vt:lpstr>Range2</vt:lpstr>
      <vt:lpstr>RNGE2</vt:lpstr>
      <vt:lpstr>RS</vt:lpstr>
      <vt:lpstr>RSUM</vt:lpstr>
      <vt:lpstr>RSUM2</vt:lpstr>
      <vt:lpstr>VINT</vt:lpstr>
      <vt:lpstr>VINT2</vt:lpstr>
      <vt:lpstr>VREF</vt:lpstr>
      <vt:lpstr>VREF2</vt:lpstr>
      <vt:lpstr>VTHF</vt:lpstr>
      <vt:lpstr>VTHF2</vt:lpstr>
      <vt:lpstr>VTHR</vt:lpstr>
      <vt:lpstr>VTHR2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Afzal</dc:creator>
  <cp:lastModifiedBy>Kevin Flynn</cp:lastModifiedBy>
  <dcterms:created xsi:type="dcterms:W3CDTF">2015-06-15T21:47:17Z</dcterms:created>
  <dcterms:modified xsi:type="dcterms:W3CDTF">2015-07-20T23:09:02Z</dcterms:modified>
  <cp:contentStatus/>
</cp:coreProperties>
</file>